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lisson.fonseca\Desktop\"/>
    </mc:Choice>
  </mc:AlternateContent>
  <bookViews>
    <workbookView xWindow="0" yWindow="0" windowWidth="28800" windowHeight="12435"/>
  </bookViews>
  <sheets>
    <sheet name="UST" sheetId="2" r:id="rId1"/>
  </sheets>
  <externalReferences>
    <externalReference r:id="rId2"/>
  </externalReferences>
  <definedNames>
    <definedName name="_xlnm.Print_Area" localSheetId="0">UST!$A$3:$C$112</definedName>
    <definedName name="_xlnm.Print_Titles" localSheetId="0">UST!$1:$2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3" i="2" l="1"/>
  <c r="B102" i="2"/>
  <c r="B71" i="2"/>
  <c r="B72" i="2" s="1"/>
  <c r="B82" i="2" s="1"/>
  <c r="B61" i="2"/>
  <c r="B81" i="2" s="1"/>
  <c r="B59" i="2"/>
  <c r="B56" i="2"/>
  <c r="B40" i="2"/>
  <c r="B51" i="2" s="1"/>
  <c r="B52" i="2" s="1"/>
  <c r="B80" i="2" s="1"/>
  <c r="A26" i="2"/>
  <c r="I12" i="2"/>
  <c r="I11" i="2"/>
  <c r="I10" i="2"/>
  <c r="I9" i="2"/>
  <c r="I8" i="2"/>
  <c r="I7" i="2"/>
  <c r="I6" i="2"/>
  <c r="I5" i="2"/>
  <c r="I4" i="2"/>
  <c r="H14" i="2" s="1"/>
  <c r="C6" i="2" s="1"/>
  <c r="C16" i="2" l="1"/>
  <c r="B16" i="2" s="1"/>
  <c r="C8" i="2"/>
  <c r="B46" i="2"/>
  <c r="B47" i="2" s="1"/>
  <c r="B78" i="2"/>
  <c r="B84" i="2" l="1"/>
  <c r="B74" i="2"/>
  <c r="B79" i="2"/>
  <c r="C67" i="2"/>
  <c r="C51" i="2"/>
  <c r="C44" i="2"/>
  <c r="C35" i="2"/>
  <c r="C25" i="2"/>
  <c r="C39" i="2"/>
  <c r="C82" i="2"/>
  <c r="C80" i="2"/>
  <c r="C66" i="2"/>
  <c r="C58" i="2"/>
  <c r="C43" i="2"/>
  <c r="C45" i="2" s="1"/>
  <c r="C34" i="2"/>
  <c r="C24" i="2"/>
  <c r="C15" i="2"/>
  <c r="C83" i="2"/>
  <c r="C111" i="2"/>
  <c r="C65" i="2"/>
  <c r="C57" i="2"/>
  <c r="C50" i="2"/>
  <c r="C33" i="2"/>
  <c r="C78" i="2"/>
  <c r="C55" i="2"/>
  <c r="C46" i="2"/>
  <c r="C27" i="2"/>
  <c r="C79" i="2"/>
  <c r="C71" i="2"/>
  <c r="C64" i="2"/>
  <c r="C56" i="2"/>
  <c r="C32" i="2"/>
  <c r="C19" i="2"/>
  <c r="C38" i="2"/>
  <c r="C69" i="2"/>
  <c r="C60" i="2"/>
  <c r="C37" i="2"/>
  <c r="C26" i="2"/>
  <c r="B17" i="2"/>
  <c r="C11" i="2"/>
  <c r="C81" i="2"/>
  <c r="C68" i="2"/>
  <c r="C59" i="2"/>
  <c r="C36" i="2"/>
  <c r="C70" i="2" l="1"/>
  <c r="C28" i="2"/>
  <c r="C72" i="2"/>
  <c r="C52" i="2"/>
  <c r="C47" i="2"/>
  <c r="C61" i="2"/>
  <c r="C40" i="2"/>
  <c r="C84" i="2"/>
  <c r="B15" i="2"/>
  <c r="C74" i="2" l="1"/>
  <c r="B18" i="2"/>
  <c r="C18" i="2"/>
  <c r="C20" i="2"/>
  <c r="C86" i="2"/>
  <c r="C90" i="2"/>
  <c r="C91" i="2"/>
  <c r="C92" i="2"/>
  <c r="C98" i="2"/>
  <c r="C99" i="2"/>
  <c r="C100" i="2"/>
  <c r="C101" i="2"/>
  <c r="C102" i="2"/>
  <c r="C104" i="2"/>
  <c r="C105" i="2"/>
  <c r="C106" i="2"/>
  <c r="C109" i="2"/>
  <c r="C112" i="2"/>
</calcChain>
</file>

<file path=xl/sharedStrings.xml><?xml version="1.0" encoding="utf-8"?>
<sst xmlns="http://schemas.openxmlformats.org/spreadsheetml/2006/main" count="129" uniqueCount="107">
  <si>
    <t>PLANILHA DE ANÁLISE DE EXEQUIBILIDADE</t>
  </si>
  <si>
    <t>PRECIFICAÇÃO DA UST</t>
  </si>
  <si>
    <t>MÓDULO 1 : COMPOSIÇÃO DA REMUNERAÇÃO</t>
  </si>
  <si>
    <t>Desenvolvedor I (Senior)</t>
  </si>
  <si>
    <t>Remuneração e Reserva Técnica</t>
  </si>
  <si>
    <t>Percentual</t>
  </si>
  <si>
    <t>Valor em R$</t>
  </si>
  <si>
    <t>Desenvolvedor II (Pleno)</t>
  </si>
  <si>
    <t>A - Salário Médio - Profissional de Time Ágil</t>
  </si>
  <si>
    <t>Desenvolvedor III (Pleno)</t>
  </si>
  <si>
    <t>B - Reserva Técnica sobre o Salário Base</t>
  </si>
  <si>
    <t>Analista de Requisitos/Estórias</t>
  </si>
  <si>
    <t>Total da Remuneração + Reserva Técnica</t>
  </si>
  <si>
    <t>Arquiteto de Software</t>
  </si>
  <si>
    <t>Líder de Projeto (ScrumMaster)</t>
  </si>
  <si>
    <t>Horas Trabalhadas no mês</t>
  </si>
  <si>
    <t>Testador</t>
  </si>
  <si>
    <t>Custo por hora</t>
  </si>
  <si>
    <t>Analista Devops</t>
  </si>
  <si>
    <t>Administrador (Projetista) de Dados</t>
  </si>
  <si>
    <t>MÓDULO 2: BENEFÍCIOS MENSAIS E DIÁRIOS</t>
  </si>
  <si>
    <t>Insumos (valores serão distribuídos de acordo c/ quantitativo da mão-de-obra)</t>
  </si>
  <si>
    <t>Salário ponderado</t>
  </si>
  <si>
    <t>A - Vale-transporte (fornecido conforme Lei 7.418 de 16/12/85)</t>
  </si>
  <si>
    <t>B - Vale-refeição (Auxílio Alimentação)</t>
  </si>
  <si>
    <t>C - Assistência médica</t>
  </si>
  <si>
    <t>D - Auxílio Creche</t>
  </si>
  <si>
    <t>E - Benefícios Pacote Meta (Educação, Combustível etc)</t>
  </si>
  <si>
    <t>Total dos Benefícios</t>
  </si>
  <si>
    <t>MÓDULO 3: INSUMOS DIVERSOS</t>
  </si>
  <si>
    <t>A - Uniformes/Identificação</t>
  </si>
  <si>
    <t>B - Software/Hardware</t>
  </si>
  <si>
    <t>D - Triênio (CCT SINDPD / 3% a cada 3 anos)</t>
  </si>
  <si>
    <t>Total dos Insumos</t>
  </si>
  <si>
    <t>MÓDULO 4: ENCARGOS SOCIAIS E TRABALHISTAS</t>
  </si>
  <si>
    <t>Submódulo 4.1 (Grupo A - Custos Previdenciários)</t>
  </si>
  <si>
    <t>A - INSS (incide sobre o faturamento - MP 540/2011, convertida na Lei 12.546/2011. MP 563/2012, convertida na Lei 12.715/2012. MP 612/2013.) Ver item 4 do Módulo 5</t>
  </si>
  <si>
    <t>B - SESI/SESC</t>
  </si>
  <si>
    <t>C - SENAI/SENAC</t>
  </si>
  <si>
    <t>D - INCRA</t>
  </si>
  <si>
    <t>E - Salário Educação</t>
  </si>
  <si>
    <t>F - FGTS</t>
  </si>
  <si>
    <t>G - Seguro Acidente de Trabalho</t>
  </si>
  <si>
    <t>H - SEBRAE</t>
  </si>
  <si>
    <t>Total do Submódulo 4.1</t>
  </si>
  <si>
    <t>Submódulo 4.2 (13º Salário e Adicional de Férias)</t>
  </si>
  <si>
    <t xml:space="preserve">A - 13 º Salário </t>
  </si>
  <si>
    <t>B - Adicional de Férias</t>
  </si>
  <si>
    <t>Subtotal</t>
  </si>
  <si>
    <t>C - Incidência do Submódulo 4.1 sobre 13º Salário e Adicional de Férias</t>
  </si>
  <si>
    <t>Total do Submódulo 4.2</t>
  </si>
  <si>
    <t>Submódulo 4.3 (Afastamento Maternidade)</t>
  </si>
  <si>
    <t>A - Afastamento maternidade/paternidade</t>
  </si>
  <si>
    <t>B - Incidência do submódulo 4.1 sobre afastamento maternidade</t>
  </si>
  <si>
    <t>Total do Submódulo 4.3</t>
  </si>
  <si>
    <t>Submódulo 4.4 (Provisão para Rescisão)</t>
  </si>
  <si>
    <t>A - Aviso prévio indenizado</t>
  </si>
  <si>
    <t>B - Incidência do FGTS sobre aviso prévio indenizado</t>
  </si>
  <si>
    <t>C - Multa do FGTS do aviso prévio indenizado</t>
  </si>
  <si>
    <t xml:space="preserve">D - Aviso prévio trabalhado </t>
  </si>
  <si>
    <t>E - Incidência do submódulo 4.1 sobre aviso prévio trabalhado</t>
  </si>
  <si>
    <t>F - Multa do FGTS do aviso prévio trabalhado</t>
  </si>
  <si>
    <t>Total do Submódulo 4.4</t>
  </si>
  <si>
    <t>Submódulo 4.5 (Composição do Custo de Reposição do Profissional Ausente)</t>
  </si>
  <si>
    <t>A - Férias</t>
  </si>
  <si>
    <t>B - Ausência por doença</t>
  </si>
  <si>
    <t>C - Licença paternidade</t>
  </si>
  <si>
    <t>D - Ausências legais</t>
  </si>
  <si>
    <t>E - Ausência por Acidente de trabalho</t>
  </si>
  <si>
    <t>F - Outros (especificar)</t>
  </si>
  <si>
    <t xml:space="preserve">C - Incidência do submódulo 4.1 sobre o Custo de reposição </t>
  </si>
  <si>
    <t>Total do Submódulo 4.5</t>
  </si>
  <si>
    <t>Total dos Encargos Sociais</t>
  </si>
  <si>
    <t>Quadro - resumo – Módulo 4 - Encargos sociais e trabalhistas</t>
  </si>
  <si>
    <t>Módulo 4 - Encargos sociais e trabalhistas</t>
  </si>
  <si>
    <t>4.1 - 13 º salário + Adicional de férias</t>
  </si>
  <si>
    <t>4.2 - Encargos previdenciários e FGTS</t>
  </si>
  <si>
    <t>4.3 - Afastamento maternidade</t>
  </si>
  <si>
    <t>4.4 - Custo de rescisão</t>
  </si>
  <si>
    <t>4.5 - Custo de reposição do profissional ausente</t>
  </si>
  <si>
    <t>4.6 - Outros (especificar)</t>
  </si>
  <si>
    <t>Total:</t>
  </si>
  <si>
    <t>Custos Diretos</t>
  </si>
  <si>
    <t>Módulo 5 – Custos indiretos e lucro</t>
  </si>
  <si>
    <t>Demais Componentes</t>
  </si>
  <si>
    <t>A - Despesas Administrativas/Operacionais</t>
  </si>
  <si>
    <t>C - Lucro Bruto</t>
  </si>
  <si>
    <t>Total dos Demais Componentes</t>
  </si>
  <si>
    <t>Demais Custos Diretos (Hardware, Software, Táxi, Uber, Garantia Contratual, etc)</t>
  </si>
  <si>
    <t>Módulo 5 – Tributos</t>
  </si>
  <si>
    <t>Tributos</t>
  </si>
  <si>
    <t>01 - ISS</t>
  </si>
  <si>
    <t>02 - PIS</t>
  </si>
  <si>
    <t>03 - COFINS</t>
  </si>
  <si>
    <t>04 - INSS (incide sobre o faturamento - MP 540/2011, convertida na Lei 12.546/2011. MP 563/2012, convertida na Lei 12.715/2012. MP 612/2013.)</t>
  </si>
  <si>
    <t>Total dos Tributos sobre o Faturamento</t>
  </si>
  <si>
    <t>Remuneração + Reserva Técnica + Encargos Sociais + Insumos + Demais Componentes</t>
  </si>
  <si>
    <t>Tributos sobre o Faturamento</t>
  </si>
  <si>
    <t>Total Geral</t>
  </si>
  <si>
    <t>QUADRO-RESUMO DO VALOR MENSAL DO SERVIÇO</t>
  </si>
  <si>
    <t>Total</t>
  </si>
  <si>
    <t>Fator K</t>
  </si>
  <si>
    <t>Valor Hora Por Empregado</t>
  </si>
  <si>
    <t>Produtividade Média (hh/PF)</t>
  </si>
  <si>
    <t>Salários</t>
  </si>
  <si>
    <t>% alocação</t>
  </si>
  <si>
    <t>Perfis equipe ágil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</si>
</sst>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.00000_);_(* \(#,##0.00000\);_(* &quot;-&quot;??_);_(@_)"/>
    <numFmt numFmtId="168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129">
    <xf numFmtId="0" fontId="0" fillId="0" borderId="0" xfId="0"/>
    <xf numFmtId="0" fontId="4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164" fontId="0" fillId="0" borderId="0" xfId="1" applyFont="1" applyAlignment="1">
      <alignment horizontal="right"/>
    </xf>
    <xf numFmtId="164" fontId="0" fillId="0" borderId="0" xfId="1" applyFont="1"/>
    <xf numFmtId="10" fontId="6" fillId="0" borderId="0" xfId="3" applyNumberFormat="1" applyFont="1" applyAlignment="1">
      <alignment vertical="center"/>
    </xf>
    <xf numFmtId="0" fontId="5" fillId="5" borderId="1" xfId="3" applyFont="1" applyFill="1" applyBorder="1" applyAlignment="1">
      <alignment horizontal="left" vertical="center" wrapText="1"/>
    </xf>
    <xf numFmtId="10" fontId="5" fillId="5" borderId="1" xfId="4" applyNumberFormat="1" applyFont="1" applyFill="1" applyBorder="1" applyAlignment="1">
      <alignment horizontal="center" vertical="center"/>
    </xf>
    <xf numFmtId="165" fontId="5" fillId="5" borderId="1" xfId="5" applyFont="1" applyFill="1" applyBorder="1" applyAlignment="1">
      <alignment horizontal="center" vertical="center"/>
    </xf>
    <xf numFmtId="0" fontId="6" fillId="0" borderId="1" xfId="3" applyFont="1" applyBorder="1" applyAlignment="1">
      <alignment horizontal="left" vertical="center" wrapText="1"/>
    </xf>
    <xf numFmtId="10" fontId="6" fillId="0" borderId="1" xfId="4" applyNumberFormat="1" applyFont="1" applyFill="1" applyBorder="1" applyAlignment="1">
      <alignment horizontal="center" vertical="center"/>
    </xf>
    <xf numFmtId="165" fontId="5" fillId="6" borderId="1" xfId="5" applyFont="1" applyFill="1" applyBorder="1" applyAlignment="1">
      <alignment horizontal="center" vertical="center"/>
    </xf>
    <xf numFmtId="0" fontId="6" fillId="0" borderId="4" xfId="3" applyFont="1" applyBorder="1" applyAlignment="1">
      <alignment horizontal="left" vertical="center" wrapText="1"/>
    </xf>
    <xf numFmtId="165" fontId="6" fillId="0" borderId="5" xfId="5" applyFont="1" applyFill="1" applyBorder="1" applyAlignment="1">
      <alignment horizontal="center" vertical="center"/>
    </xf>
    <xf numFmtId="165" fontId="6" fillId="0" borderId="0" xfId="3" applyNumberFormat="1" applyFont="1" applyAlignment="1">
      <alignment vertical="center"/>
    </xf>
    <xf numFmtId="165" fontId="5" fillId="4" borderId="1" xfId="5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165" fontId="6" fillId="0" borderId="0" xfId="5" applyFont="1" applyFill="1" applyBorder="1" applyAlignment="1">
      <alignment horizontal="center" vertical="center"/>
    </xf>
    <xf numFmtId="0" fontId="5" fillId="5" borderId="0" xfId="3" applyFont="1" applyFill="1" applyAlignment="1">
      <alignment horizontal="left" vertical="center" wrapText="1"/>
    </xf>
    <xf numFmtId="0" fontId="5" fillId="5" borderId="0" xfId="3" applyFont="1" applyFill="1" applyAlignment="1">
      <alignment horizontal="left" vertical="center"/>
    </xf>
    <xf numFmtId="165" fontId="5" fillId="5" borderId="0" xfId="5" applyFont="1" applyFill="1" applyBorder="1" applyAlignment="1">
      <alignment horizontal="center" vertical="center"/>
    </xf>
    <xf numFmtId="0" fontId="2" fillId="0" borderId="0" xfId="3" applyFont="1" applyAlignment="1">
      <alignment vertical="center"/>
    </xf>
    <xf numFmtId="165" fontId="5" fillId="5" borderId="6" xfId="5" applyFont="1" applyFill="1" applyBorder="1" applyAlignment="1">
      <alignment horizontal="center" vertical="center"/>
    </xf>
    <xf numFmtId="2" fontId="2" fillId="0" borderId="0" xfId="3" applyNumberFormat="1" applyFont="1" applyAlignment="1">
      <alignment vertical="center"/>
    </xf>
    <xf numFmtId="9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right" vertical="center"/>
    </xf>
    <xf numFmtId="164" fontId="6" fillId="0" borderId="0" xfId="1" applyFont="1" applyAlignment="1">
      <alignment vertical="center"/>
    </xf>
    <xf numFmtId="0" fontId="6" fillId="0" borderId="1" xfId="3" applyFont="1" applyBorder="1" applyAlignment="1">
      <alignment vertical="center" wrapText="1"/>
    </xf>
    <xf numFmtId="10" fontId="6" fillId="0" borderId="1" xfId="3" quotePrefix="1" applyNumberFormat="1" applyFont="1" applyBorder="1" applyAlignment="1">
      <alignment horizontal="center" vertical="center"/>
    </xf>
    <xf numFmtId="165" fontId="6" fillId="0" borderId="6" xfId="5" applyFont="1" applyFill="1" applyBorder="1" applyAlignment="1">
      <alignment horizontal="center" vertical="center"/>
    </xf>
    <xf numFmtId="165" fontId="2" fillId="0" borderId="0" xfId="5" applyFont="1" applyFill="1" applyBorder="1" applyAlignment="1">
      <alignment vertical="center"/>
    </xf>
    <xf numFmtId="165" fontId="6" fillId="0" borderId="0" xfId="5" applyFont="1" applyFill="1" applyBorder="1" applyAlignment="1">
      <alignment vertical="center"/>
    </xf>
    <xf numFmtId="40" fontId="7" fillId="0" borderId="0" xfId="3" applyNumberFormat="1" applyFont="1" applyAlignment="1">
      <alignment horizontal="right" vertical="center"/>
    </xf>
    <xf numFmtId="9" fontId="6" fillId="0" borderId="0" xfId="3" applyNumberFormat="1" applyFont="1" applyAlignment="1">
      <alignment vertical="center"/>
    </xf>
    <xf numFmtId="166" fontId="6" fillId="0" borderId="0" xfId="6" applyFont="1" applyFill="1" applyBorder="1" applyAlignment="1">
      <alignment vertical="center"/>
    </xf>
    <xf numFmtId="165" fontId="5" fillId="4" borderId="6" xfId="5" applyFont="1" applyFill="1" applyBorder="1" applyAlignment="1">
      <alignment horizontal="center" vertical="center"/>
    </xf>
    <xf numFmtId="9" fontId="8" fillId="0" borderId="0" xfId="3" applyNumberFormat="1" applyFont="1" applyAlignment="1">
      <alignment horizontal="right" vertical="center"/>
    </xf>
    <xf numFmtId="166" fontId="8" fillId="0" borderId="0" xfId="6" applyFont="1" applyFill="1" applyBorder="1" applyAlignment="1">
      <alignment vertical="center"/>
    </xf>
    <xf numFmtId="0" fontId="6" fillId="0" borderId="0" xfId="3" applyFont="1" applyAlignment="1">
      <alignment vertical="center" wrapText="1"/>
    </xf>
    <xf numFmtId="10" fontId="6" fillId="0" borderId="0" xfId="3" quotePrefix="1" applyNumberFormat="1" applyFont="1" applyAlignment="1">
      <alignment horizontal="center" vertical="center"/>
    </xf>
    <xf numFmtId="0" fontId="5" fillId="5" borderId="8" xfId="3" applyFont="1" applyFill="1" applyBorder="1" applyAlignment="1">
      <alignment horizontal="left" vertical="center" wrapText="1"/>
    </xf>
    <xf numFmtId="10" fontId="5" fillId="5" borderId="9" xfId="4" applyNumberFormat="1" applyFont="1" applyFill="1" applyBorder="1" applyAlignment="1">
      <alignment horizontal="center" vertical="center"/>
    </xf>
    <xf numFmtId="165" fontId="5" fillId="5" borderId="9" xfId="5" applyFont="1" applyFill="1" applyBorder="1" applyAlignment="1">
      <alignment horizontal="center" vertical="center"/>
    </xf>
    <xf numFmtId="165" fontId="7" fillId="0" borderId="6" xfId="5" applyFont="1" applyFill="1" applyBorder="1" applyAlignment="1" applyProtection="1">
      <alignment horizontal="center" vertical="center"/>
    </xf>
    <xf numFmtId="0" fontId="6" fillId="3" borderId="1" xfId="3" applyFont="1" applyFill="1" applyBorder="1" applyAlignment="1">
      <alignment horizontal="left" vertical="center" wrapText="1"/>
    </xf>
    <xf numFmtId="10" fontId="6" fillId="3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vertical="center" wrapText="1"/>
    </xf>
    <xf numFmtId="10" fontId="6" fillId="3" borderId="1" xfId="3" quotePrefix="1" applyNumberFormat="1" applyFont="1" applyFill="1" applyBorder="1" applyAlignment="1">
      <alignment horizontal="center" vertical="center"/>
    </xf>
    <xf numFmtId="9" fontId="6" fillId="0" borderId="0" xfId="4" applyFont="1" applyFill="1" applyBorder="1" applyAlignment="1">
      <alignment vertical="center"/>
    </xf>
    <xf numFmtId="0" fontId="5" fillId="0" borderId="7" xfId="3" applyFont="1" applyBorder="1" applyAlignment="1">
      <alignment horizontal="left" vertical="center" wrapText="1"/>
    </xf>
    <xf numFmtId="0" fontId="6" fillId="0" borderId="7" xfId="3" applyFont="1" applyBorder="1" applyAlignment="1">
      <alignment horizontal="left" vertical="center"/>
    </xf>
    <xf numFmtId="165" fontId="5" fillId="0" borderId="7" xfId="5" applyFont="1" applyFill="1" applyBorder="1" applyAlignment="1">
      <alignment horizontal="center" vertical="center"/>
    </xf>
    <xf numFmtId="0" fontId="6" fillId="3" borderId="6" xfId="3" applyFont="1" applyFill="1" applyBorder="1" applyAlignment="1">
      <alignment horizontal="left" vertical="center" wrapText="1"/>
    </xf>
    <xf numFmtId="10" fontId="6" fillId="3" borderId="6" xfId="4" applyNumberFormat="1" applyFont="1" applyFill="1" applyBorder="1" applyAlignment="1">
      <alignment horizontal="center" vertical="center"/>
    </xf>
    <xf numFmtId="165" fontId="6" fillId="3" borderId="6" xfId="5" applyFont="1" applyFill="1" applyBorder="1" applyAlignment="1">
      <alignment horizontal="center" vertical="center"/>
    </xf>
    <xf numFmtId="10" fontId="6" fillId="0" borderId="0" xfId="4" applyNumberFormat="1" applyFont="1" applyFill="1" applyBorder="1" applyAlignment="1">
      <alignment horizontal="center" vertical="center"/>
    </xf>
    <xf numFmtId="0" fontId="6" fillId="0" borderId="6" xfId="3" applyFont="1" applyBorder="1" applyAlignment="1">
      <alignment horizontal="left" vertical="center" wrapText="1"/>
    </xf>
    <xf numFmtId="10" fontId="9" fillId="3" borderId="1" xfId="2" applyNumberFormat="1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6" fillId="0" borderId="10" xfId="5" applyFont="1" applyFill="1" applyBorder="1" applyAlignment="1">
      <alignment horizontal="center" vertical="center"/>
    </xf>
    <xf numFmtId="0" fontId="5" fillId="0" borderId="9" xfId="3" applyFont="1" applyBorder="1" applyAlignment="1">
      <alignment horizontal="left" vertical="center" wrapText="1"/>
    </xf>
    <xf numFmtId="10" fontId="5" fillId="0" borderId="0" xfId="4" applyNumberFormat="1" applyFont="1" applyFill="1" applyBorder="1" applyAlignment="1">
      <alignment horizontal="center" vertical="center"/>
    </xf>
    <xf numFmtId="165" fontId="5" fillId="0" borderId="0" xfId="5" applyFont="1" applyFill="1" applyBorder="1" applyAlignment="1">
      <alignment horizontal="center" vertical="center"/>
    </xf>
    <xf numFmtId="10" fontId="5" fillId="5" borderId="4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justify" vertical="top" wrapText="1"/>
    </xf>
    <xf numFmtId="165" fontId="6" fillId="0" borderId="11" xfId="5" applyFont="1" applyFill="1" applyBorder="1" applyAlignment="1">
      <alignment horizontal="center" vertical="center"/>
    </xf>
    <xf numFmtId="165" fontId="5" fillId="0" borderId="1" xfId="5" applyFont="1" applyFill="1" applyBorder="1" applyAlignment="1">
      <alignment horizontal="center" vertical="center"/>
    </xf>
    <xf numFmtId="0" fontId="6" fillId="0" borderId="1" xfId="3" applyFont="1" applyBorder="1" applyAlignment="1">
      <alignment horizontal="left" vertical="top" wrapText="1"/>
    </xf>
    <xf numFmtId="10" fontId="6" fillId="0" borderId="6" xfId="4" applyNumberFormat="1" applyFont="1" applyFill="1" applyBorder="1" applyAlignment="1">
      <alignment horizontal="center" vertical="center"/>
    </xf>
    <xf numFmtId="10" fontId="6" fillId="0" borderId="2" xfId="4" applyNumberFormat="1" applyFont="1" applyFill="1" applyBorder="1" applyAlignment="1">
      <alignment horizontal="center" vertical="center"/>
    </xf>
    <xf numFmtId="10" fontId="6" fillId="0" borderId="0" xfId="4" applyNumberFormat="1" applyFont="1" applyFill="1" applyBorder="1" applyAlignment="1">
      <alignment horizontal="left" vertical="center"/>
    </xf>
    <xf numFmtId="0" fontId="5" fillId="0" borderId="7" xfId="3" applyFont="1" applyBorder="1" applyAlignment="1">
      <alignment vertical="center" wrapText="1"/>
    </xf>
    <xf numFmtId="10" fontId="5" fillId="0" borderId="7" xfId="4" applyNumberFormat="1" applyFont="1" applyFill="1" applyBorder="1" applyAlignment="1">
      <alignment horizontal="center" vertical="center"/>
    </xf>
    <xf numFmtId="0" fontId="5" fillId="0" borderId="0" xfId="3" applyFont="1" applyAlignment="1">
      <alignment vertical="center" wrapText="1"/>
    </xf>
    <xf numFmtId="0" fontId="5" fillId="0" borderId="3" xfId="3" applyFont="1" applyBorder="1" applyAlignment="1">
      <alignment horizontal="left" vertical="center"/>
    </xf>
    <xf numFmtId="0" fontId="5" fillId="5" borderId="6" xfId="3" applyFont="1" applyFill="1" applyBorder="1" applyAlignment="1">
      <alignment horizontal="left" vertical="center" wrapText="1"/>
    </xf>
    <xf numFmtId="165" fontId="5" fillId="5" borderId="10" xfId="5" applyFont="1" applyFill="1" applyBorder="1" applyAlignment="1">
      <alignment horizontal="center" vertical="center"/>
    </xf>
    <xf numFmtId="0" fontId="5" fillId="0" borderId="0" xfId="3" applyFont="1" applyAlignment="1">
      <alignment horizontal="left" vertical="center"/>
    </xf>
    <xf numFmtId="43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165" fontId="6" fillId="0" borderId="1" xfId="5" quotePrefix="1" applyFont="1" applyFill="1" applyBorder="1" applyAlignment="1">
      <alignment horizontal="center" vertical="center"/>
    </xf>
    <xf numFmtId="167" fontId="6" fillId="0" borderId="0" xfId="3" applyNumberFormat="1" applyFont="1" applyAlignment="1">
      <alignment vertical="center"/>
    </xf>
    <xf numFmtId="0" fontId="6" fillId="3" borderId="4" xfId="3" applyFont="1" applyFill="1" applyBorder="1" applyAlignment="1">
      <alignment horizontal="left" vertical="center" wrapText="1"/>
    </xf>
    <xf numFmtId="165" fontId="6" fillId="3" borderId="1" xfId="5" quotePrefix="1" applyFont="1" applyFill="1" applyBorder="1" applyAlignment="1">
      <alignment horizontal="center" vertical="center"/>
    </xf>
    <xf numFmtId="0" fontId="5" fillId="4" borderId="1" xfId="3" applyFont="1" applyFill="1" applyBorder="1" applyAlignment="1">
      <alignment vertical="center" wrapText="1"/>
    </xf>
    <xf numFmtId="10" fontId="5" fillId="4" borderId="1" xfId="3" applyNumberFormat="1" applyFont="1" applyFill="1" applyBorder="1" applyAlignment="1">
      <alignment horizontal="center" vertical="center"/>
    </xf>
    <xf numFmtId="165" fontId="5" fillId="4" borderId="1" xfId="5" quotePrefix="1" applyFont="1" applyFill="1" applyBorder="1" applyAlignment="1">
      <alignment horizontal="center" vertical="center"/>
    </xf>
    <xf numFmtId="168" fontId="6" fillId="0" borderId="0" xfId="5" applyNumberFormat="1" applyFont="1" applyFill="1" applyAlignment="1">
      <alignment vertical="center"/>
    </xf>
    <xf numFmtId="0" fontId="5" fillId="0" borderId="3" xfId="3" applyFont="1" applyBorder="1" applyAlignment="1">
      <alignment vertical="center" wrapText="1"/>
    </xf>
    <xf numFmtId="10" fontId="5" fillId="0" borderId="3" xfId="3" applyNumberFormat="1" applyFont="1" applyBorder="1" applyAlignment="1">
      <alignment horizontal="center" vertical="center"/>
    </xf>
    <xf numFmtId="165" fontId="5" fillId="0" borderId="3" xfId="5" applyFont="1" applyFill="1" applyBorder="1" applyAlignment="1">
      <alignment horizontal="center" vertical="center"/>
    </xf>
    <xf numFmtId="165" fontId="5" fillId="5" borderId="11" xfId="4" applyNumberFormat="1" applyFont="1" applyFill="1" applyBorder="1" applyAlignment="1">
      <alignment horizontal="right" vertical="center"/>
    </xf>
    <xf numFmtId="43" fontId="6" fillId="0" borderId="0" xfId="3" applyNumberFormat="1" applyFont="1" applyAlignment="1">
      <alignment vertical="center"/>
    </xf>
    <xf numFmtId="0" fontId="5" fillId="0" borderId="0" xfId="3" applyFont="1" applyAlignment="1">
      <alignment horizontal="left" vertical="center" wrapText="1"/>
    </xf>
    <xf numFmtId="10" fontId="6" fillId="0" borderId="0" xfId="4" applyNumberFormat="1" applyFont="1" applyFill="1" applyAlignment="1">
      <alignment vertical="center"/>
    </xf>
    <xf numFmtId="165" fontId="6" fillId="0" borderId="0" xfId="5" applyFont="1" applyFill="1" applyAlignment="1">
      <alignment vertical="center"/>
    </xf>
    <xf numFmtId="0" fontId="5" fillId="0" borderId="3" xfId="3" applyFont="1" applyBorder="1" applyAlignment="1">
      <alignment horizontal="right" vertical="center"/>
    </xf>
    <xf numFmtId="0" fontId="5" fillId="0" borderId="3" xfId="3" applyFont="1" applyBorder="1" applyAlignment="1">
      <alignment vertical="center"/>
    </xf>
    <xf numFmtId="0" fontId="6" fillId="0" borderId="3" xfId="3" applyFont="1" applyBorder="1" applyAlignment="1">
      <alignment vertical="center"/>
    </xf>
    <xf numFmtId="164" fontId="0" fillId="0" borderId="3" xfId="1" applyFont="1" applyBorder="1" applyAlignment="1">
      <alignment horizontal="right"/>
    </xf>
    <xf numFmtId="164" fontId="0" fillId="0" borderId="3" xfId="1" applyFont="1" applyBorder="1"/>
    <xf numFmtId="10" fontId="6" fillId="0" borderId="3" xfId="3" applyNumberFormat="1" applyFont="1" applyBorder="1" applyAlignment="1">
      <alignment vertical="center"/>
    </xf>
    <xf numFmtId="0" fontId="5" fillId="4" borderId="6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0" fontId="5" fillId="4" borderId="5" xfId="3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left" vertical="center"/>
    </xf>
    <xf numFmtId="0" fontId="5" fillId="5" borderId="1" xfId="3" applyFont="1" applyFill="1" applyBorder="1" applyAlignment="1">
      <alignment horizontal="left" vertical="center"/>
    </xf>
    <xf numFmtId="0" fontId="5" fillId="4" borderId="6" xfId="3" applyFont="1" applyFill="1" applyBorder="1" applyAlignment="1">
      <alignment horizontal="left" vertical="center"/>
    </xf>
    <xf numFmtId="0" fontId="5" fillId="4" borderId="5" xfId="3" applyFont="1" applyFill="1" applyBorder="1" applyAlignment="1">
      <alignment horizontal="left" vertical="center"/>
    </xf>
    <xf numFmtId="43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5" fillId="5" borderId="8" xfId="3" applyFont="1" applyFill="1" applyBorder="1" applyAlignment="1">
      <alignment horizontal="left" vertical="center"/>
    </xf>
    <xf numFmtId="0" fontId="5" fillId="5" borderId="12" xfId="3" applyFont="1" applyFill="1" applyBorder="1" applyAlignment="1">
      <alignment horizontal="left" vertical="center"/>
    </xf>
    <xf numFmtId="0" fontId="5" fillId="5" borderId="6" xfId="3" applyFont="1" applyFill="1" applyBorder="1" applyAlignment="1">
      <alignment horizontal="left" vertical="center"/>
    </xf>
    <xf numFmtId="0" fontId="5" fillId="5" borderId="5" xfId="3" applyFont="1" applyFill="1" applyBorder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0" fontId="5" fillId="4" borderId="1" xfId="3" applyFont="1" applyFill="1" applyBorder="1" applyAlignment="1">
      <alignment horizontal="center" vertical="center"/>
    </xf>
    <xf numFmtId="0" fontId="5" fillId="5" borderId="6" xfId="3" applyFont="1" applyFill="1" applyBorder="1" applyAlignment="1">
      <alignment horizontal="right" vertical="top" wrapText="1"/>
    </xf>
    <xf numFmtId="0" fontId="5" fillId="5" borderId="5" xfId="3" applyFont="1" applyFill="1" applyBorder="1" applyAlignment="1">
      <alignment horizontal="right" vertical="top" wrapText="1"/>
    </xf>
    <xf numFmtId="0" fontId="5" fillId="5" borderId="8" xfId="3" applyFont="1" applyFill="1" applyBorder="1" applyAlignment="1">
      <alignment horizontal="right" vertical="top" wrapText="1"/>
    </xf>
    <xf numFmtId="0" fontId="4" fillId="2" borderId="1" xfId="3" quotePrefix="1" applyFont="1" applyFill="1" applyBorder="1" applyAlignment="1">
      <alignment horizontal="center" vertical="center" wrapText="1"/>
    </xf>
    <xf numFmtId="10" fontId="5" fillId="3" borderId="1" xfId="3" applyNumberFormat="1" applyFont="1" applyFill="1" applyBorder="1" applyAlignment="1">
      <alignment horizontal="center" vertical="center" wrapText="1"/>
    </xf>
    <xf numFmtId="0" fontId="6" fillId="4" borderId="5" xfId="3" applyFont="1" applyFill="1" applyBorder="1" applyAlignment="1">
      <alignment horizontal="left" vertical="center"/>
    </xf>
    <xf numFmtId="0" fontId="5" fillId="4" borderId="4" xfId="3" applyFont="1" applyFill="1" applyBorder="1" applyAlignment="1">
      <alignment horizontal="center" vertical="center"/>
    </xf>
    <xf numFmtId="0" fontId="5" fillId="4" borderId="7" xfId="3" applyFont="1" applyFill="1" applyBorder="1" applyAlignment="1">
      <alignment horizontal="center" vertical="center"/>
    </xf>
  </cellXfs>
  <cellStyles count="7">
    <cellStyle name="Moeda" xfId="1" builtinId="4"/>
    <cellStyle name="Moeda 2" xfId="6"/>
    <cellStyle name="Normal" xfId="0" builtinId="0"/>
    <cellStyle name="Normal 2" xfId="3"/>
    <cellStyle name="Porcentagem" xfId="2" builtinId="5"/>
    <cellStyle name="Porcentagem 2" xfId="4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ta.DESKTOP-28TETF1/Documents/13%20-%20Meta/00%20Editais/MJSP/02%20Modelo%20de%20custos/Planilha%20de%20exequibilidade/Meta%20-%20Dilig&#234;ncia%20-%20Planilha_de_exequibilida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 Gerais"/>
      <sheetName val="Dados da Empresa"/>
      <sheetName val="Custos do Time"/>
      <sheetName val="1"/>
      <sheetName val="2"/>
      <sheetName val="3"/>
      <sheetName val="4"/>
      <sheetName val="5"/>
      <sheetName val="6"/>
      <sheetName val="7"/>
      <sheetName val="8"/>
    </sheetNames>
    <sheetDataSet>
      <sheetData sheetId="0"/>
      <sheetData sheetId="1"/>
      <sheetData sheetId="2">
        <row r="3">
          <cell r="C3">
            <v>1</v>
          </cell>
        </row>
        <row r="4">
          <cell r="C4">
            <v>1</v>
          </cell>
        </row>
        <row r="5">
          <cell r="C5">
            <v>1</v>
          </cell>
        </row>
        <row r="6">
          <cell r="C6">
            <v>0.5</v>
          </cell>
        </row>
        <row r="7">
          <cell r="C7">
            <v>0.33329999999999999</v>
          </cell>
        </row>
        <row r="8">
          <cell r="C8">
            <v>0.33329999999999999</v>
          </cell>
        </row>
        <row r="9">
          <cell r="C9">
            <v>0.33329999999999999</v>
          </cell>
        </row>
        <row r="10">
          <cell r="C10">
            <v>0.2</v>
          </cell>
        </row>
        <row r="11">
          <cell r="C11">
            <v>0.2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K114"/>
  <sheetViews>
    <sheetView showGridLines="0" tabSelected="1" view="pageBreakPreview" zoomScale="80" zoomScaleNormal="80" zoomScaleSheetLayoutView="80" workbookViewId="0">
      <selection activeCell="C95" sqref="C95"/>
    </sheetView>
  </sheetViews>
  <sheetFormatPr defaultColWidth="9.140625" defaultRowHeight="15" x14ac:dyDescent="0.25"/>
  <cols>
    <col min="1" max="1" width="75.85546875" style="41" customWidth="1"/>
    <col min="2" max="2" width="15.7109375" style="97" customWidth="1"/>
    <col min="3" max="3" width="18.7109375" style="98" customWidth="1"/>
    <col min="4" max="4" width="5.7109375" style="2" customWidth="1"/>
    <col min="5" max="5" width="10" style="2" customWidth="1"/>
    <col min="6" max="6" width="11.7109375" style="2" customWidth="1"/>
    <col min="7" max="7" width="15" style="2" customWidth="1"/>
    <col min="8" max="8" width="14" style="2" customWidth="1"/>
    <col min="9" max="9" width="13.140625" style="2" bestFit="1" customWidth="1"/>
    <col min="10" max="10" width="12.7109375" style="2" customWidth="1"/>
    <col min="11" max="11" width="13.140625" style="2" bestFit="1" customWidth="1"/>
    <col min="12" max="16384" width="9.140625" style="2"/>
  </cols>
  <sheetData>
    <row r="1" spans="1:11" s="1" customFormat="1" ht="18.75" x14ac:dyDescent="0.25">
      <c r="A1" s="124" t="s">
        <v>0</v>
      </c>
      <c r="B1" s="124"/>
      <c r="C1" s="124"/>
    </row>
    <row r="2" spans="1:11" ht="18.600000000000001" customHeight="1" x14ac:dyDescent="0.25">
      <c r="A2" s="125" t="s">
        <v>1</v>
      </c>
      <c r="B2" s="125"/>
      <c r="C2" s="125"/>
    </row>
    <row r="3" spans="1:11" x14ac:dyDescent="0.25">
      <c r="A3" s="3"/>
      <c r="B3" s="4"/>
      <c r="C3" s="4"/>
      <c r="E3" s="101"/>
      <c r="F3" s="101"/>
      <c r="G3" s="99" t="s">
        <v>106</v>
      </c>
      <c r="H3" s="100" t="s">
        <v>104</v>
      </c>
      <c r="I3" s="100" t="s">
        <v>105</v>
      </c>
    </row>
    <row r="4" spans="1:11" x14ac:dyDescent="0.25">
      <c r="A4" s="120" t="s">
        <v>2</v>
      </c>
      <c r="B4" s="120"/>
      <c r="C4" s="120"/>
      <c r="G4" s="5" t="s">
        <v>3</v>
      </c>
      <c r="H4" s="6">
        <v>6200</v>
      </c>
      <c r="I4" s="7">
        <f>'[1]Custos do Time'!C3</f>
        <v>1</v>
      </c>
    </row>
    <row r="5" spans="1:11" x14ac:dyDescent="0.25">
      <c r="A5" s="8" t="s">
        <v>4</v>
      </c>
      <c r="B5" s="9" t="s">
        <v>5</v>
      </c>
      <c r="C5" s="10" t="s">
        <v>6</v>
      </c>
      <c r="G5" s="5" t="s">
        <v>7</v>
      </c>
      <c r="H5" s="6">
        <v>4500</v>
      </c>
      <c r="I5" s="7">
        <f>'[1]Custos do Time'!C4</f>
        <v>1</v>
      </c>
    </row>
    <row r="6" spans="1:11" x14ac:dyDescent="0.25">
      <c r="A6" s="11" t="s">
        <v>8</v>
      </c>
      <c r="B6" s="12">
        <v>1</v>
      </c>
      <c r="C6" s="13">
        <f>H14</f>
        <v>5458.4807853221482</v>
      </c>
      <c r="G6" s="5" t="s">
        <v>9</v>
      </c>
      <c r="H6" s="6">
        <v>4500</v>
      </c>
      <c r="I6" s="7">
        <f>'[1]Custos do Time'!C5</f>
        <v>1</v>
      </c>
    </row>
    <row r="7" spans="1:11" x14ac:dyDescent="0.25">
      <c r="A7" s="14" t="s">
        <v>10</v>
      </c>
      <c r="B7" s="12">
        <v>0</v>
      </c>
      <c r="C7" s="15"/>
      <c r="F7" s="16"/>
      <c r="G7" s="5" t="s">
        <v>11</v>
      </c>
      <c r="H7" s="6">
        <v>5800</v>
      </c>
      <c r="I7" s="7">
        <f>'[1]Custos do Time'!C6</f>
        <v>0.5</v>
      </c>
    </row>
    <row r="8" spans="1:11" x14ac:dyDescent="0.25">
      <c r="A8" s="110" t="s">
        <v>12</v>
      </c>
      <c r="B8" s="126"/>
      <c r="C8" s="17">
        <f>C6+C7</f>
        <v>5458.4807853221482</v>
      </c>
      <c r="G8" s="5" t="s">
        <v>13</v>
      </c>
      <c r="H8" s="6">
        <v>11000</v>
      </c>
      <c r="I8" s="7">
        <f>'[1]Custos do Time'!C7</f>
        <v>0.33329999999999999</v>
      </c>
    </row>
    <row r="9" spans="1:11" x14ac:dyDescent="0.25">
      <c r="A9" s="18"/>
      <c r="B9" s="19"/>
      <c r="C9" s="20"/>
      <c r="G9" s="5" t="s">
        <v>14</v>
      </c>
      <c r="H9" s="6">
        <v>6200</v>
      </c>
      <c r="I9" s="7">
        <f>'[1]Custos do Time'!C8</f>
        <v>0.33329999999999999</v>
      </c>
    </row>
    <row r="10" spans="1:11" x14ac:dyDescent="0.25">
      <c r="A10" s="21" t="s">
        <v>15</v>
      </c>
      <c r="B10" s="22"/>
      <c r="C10" s="23">
        <v>160</v>
      </c>
      <c r="G10" s="5" t="s">
        <v>16</v>
      </c>
      <c r="H10" s="6">
        <v>2500</v>
      </c>
      <c r="I10" s="7">
        <f>'[1]Custos do Time'!C9</f>
        <v>0.33329999999999999</v>
      </c>
    </row>
    <row r="11" spans="1:11" x14ac:dyDescent="0.25">
      <c r="A11" s="21" t="s">
        <v>17</v>
      </c>
      <c r="B11" s="22"/>
      <c r="C11" s="23">
        <f>ROUND(C8/C10,2)</f>
        <v>34.119999999999997</v>
      </c>
      <c r="G11" s="5" t="s">
        <v>18</v>
      </c>
      <c r="H11" s="6">
        <v>4500</v>
      </c>
      <c r="I11" s="7">
        <f>'[1]Custos do Time'!C10</f>
        <v>0.2</v>
      </c>
    </row>
    <row r="12" spans="1:11" x14ac:dyDescent="0.25">
      <c r="A12" s="18"/>
      <c r="B12" s="19"/>
      <c r="C12" s="20"/>
      <c r="E12" s="101"/>
      <c r="F12" s="101"/>
      <c r="G12" s="102" t="s">
        <v>19</v>
      </c>
      <c r="H12" s="103">
        <v>5900</v>
      </c>
      <c r="I12" s="104">
        <f>'[1]Custos do Time'!C11</f>
        <v>0.2</v>
      </c>
    </row>
    <row r="13" spans="1:11" x14ac:dyDescent="0.25">
      <c r="A13" s="127" t="s">
        <v>20</v>
      </c>
      <c r="B13" s="128"/>
      <c r="C13" s="128"/>
      <c r="E13" s="24"/>
    </row>
    <row r="14" spans="1:11" x14ac:dyDescent="0.25">
      <c r="A14" s="8" t="s">
        <v>21</v>
      </c>
      <c r="B14" s="9" t="s">
        <v>5</v>
      </c>
      <c r="C14" s="25" t="s">
        <v>6</v>
      </c>
      <c r="E14" s="26"/>
      <c r="F14" s="27"/>
      <c r="G14" s="28" t="s">
        <v>22</v>
      </c>
      <c r="H14" s="29">
        <f>SUMPRODUCT(H4:H12,I4:I12)/SUM(I4:I12)</f>
        <v>5458.4807853221482</v>
      </c>
    </row>
    <row r="15" spans="1:11" x14ac:dyDescent="0.25">
      <c r="A15" s="30" t="s">
        <v>23</v>
      </c>
      <c r="B15" s="31">
        <f>C15/$C$8</f>
        <v>0</v>
      </c>
      <c r="C15" s="32">
        <f>IF((C8*6%)&gt;210,0,(210-(C8*6%)))</f>
        <v>0</v>
      </c>
      <c r="D15" s="16"/>
      <c r="E15" s="20"/>
      <c r="F15" s="33"/>
      <c r="H15" s="34"/>
    </row>
    <row r="16" spans="1:11" x14ac:dyDescent="0.25">
      <c r="A16" s="30" t="s">
        <v>24</v>
      </c>
      <c r="B16" s="31">
        <f t="shared" ref="B16:B18" si="0">C16/$C$8</f>
        <v>9.1617799836312047E-2</v>
      </c>
      <c r="C16" s="32">
        <f>(26.46*21)*(1-IF(C6&gt;=6851.4,20%,IF(C6&gt;=5592.97,15%,IF(C6&gt;=4474.37,10%,IF(C6&gt;=3076.13,7.5%,IF(C6&gt;=1817.71,5%,IF(C6&lt;=1817.7,0%)))))))</f>
        <v>500.09399999999999</v>
      </c>
      <c r="F16" s="35"/>
      <c r="K16" s="28"/>
    </row>
    <row r="17" spans="1:11" x14ac:dyDescent="0.25">
      <c r="A17" s="30" t="s">
        <v>25</v>
      </c>
      <c r="B17" s="31">
        <f t="shared" si="0"/>
        <v>5.4266014968213962E-2</v>
      </c>
      <c r="C17" s="32">
        <v>296.20999999999998</v>
      </c>
      <c r="G17" s="16"/>
      <c r="H17" s="34"/>
      <c r="I17" s="34"/>
      <c r="J17" s="34"/>
      <c r="K17" s="34"/>
    </row>
    <row r="18" spans="1:11" x14ac:dyDescent="0.25">
      <c r="A18" s="30" t="s">
        <v>26</v>
      </c>
      <c r="B18" s="31">
        <f t="shared" ca="1" si="0"/>
        <v>0</v>
      </c>
      <c r="C18" s="32">
        <f t="shared" ref="C18" ca="1" si="1">IF($C$8&gt;0,IF(B18&gt;0,B18*$C$8,0),0)</f>
        <v>0</v>
      </c>
      <c r="G18" s="36"/>
      <c r="H18" s="7"/>
      <c r="I18" s="7"/>
      <c r="J18" s="36"/>
      <c r="K18" s="7"/>
    </row>
    <row r="19" spans="1:11" x14ac:dyDescent="0.25">
      <c r="A19" s="30" t="s">
        <v>27</v>
      </c>
      <c r="B19" s="31">
        <v>0</v>
      </c>
      <c r="C19" s="32">
        <f>B19*C8</f>
        <v>0</v>
      </c>
      <c r="F19" s="36"/>
      <c r="G19" s="37"/>
      <c r="H19" s="37"/>
      <c r="I19" s="37"/>
      <c r="J19" s="37"/>
      <c r="K19" s="37"/>
    </row>
    <row r="20" spans="1:11" x14ac:dyDescent="0.25">
      <c r="A20" s="110" t="s">
        <v>28</v>
      </c>
      <c r="B20" s="111"/>
      <c r="C20" s="38">
        <f ca="1">ROUND(SUM(C15:C19),2)</f>
        <v>796.3</v>
      </c>
      <c r="F20" s="39"/>
      <c r="G20" s="40"/>
      <c r="H20" s="37"/>
      <c r="I20" s="37"/>
      <c r="J20" s="37"/>
      <c r="K20" s="37"/>
    </row>
    <row r="21" spans="1:11" x14ac:dyDescent="0.25">
      <c r="B21" s="42"/>
      <c r="C21" s="20"/>
      <c r="F21" s="36"/>
      <c r="G21" s="37"/>
      <c r="H21" s="37"/>
      <c r="I21" s="37"/>
      <c r="J21" s="37"/>
      <c r="K21" s="37"/>
    </row>
    <row r="22" spans="1:11" x14ac:dyDescent="0.25">
      <c r="A22" s="120" t="s">
        <v>29</v>
      </c>
      <c r="B22" s="120"/>
      <c r="C22" s="105"/>
      <c r="F22" s="36"/>
      <c r="G22" s="37"/>
      <c r="H22" s="37"/>
      <c r="I22" s="37"/>
      <c r="J22" s="37"/>
      <c r="K22" s="37"/>
    </row>
    <row r="23" spans="1:11" x14ac:dyDescent="0.25">
      <c r="A23" s="43" t="s">
        <v>21</v>
      </c>
      <c r="B23" s="44" t="s">
        <v>5</v>
      </c>
      <c r="C23" s="45" t="s">
        <v>6</v>
      </c>
      <c r="H23" s="34"/>
      <c r="I23" s="37"/>
      <c r="J23" s="37"/>
      <c r="K23" s="37"/>
    </row>
    <row r="24" spans="1:11" x14ac:dyDescent="0.25">
      <c r="A24" s="30" t="s">
        <v>30</v>
      </c>
      <c r="B24" s="31">
        <v>0</v>
      </c>
      <c r="C24" s="46">
        <f>ROUND($C$8*B24,2)</f>
        <v>0</v>
      </c>
      <c r="I24" s="28"/>
    </row>
    <row r="25" spans="1:11" x14ac:dyDescent="0.25">
      <c r="A25" s="30" t="s">
        <v>31</v>
      </c>
      <c r="B25" s="31">
        <v>0</v>
      </c>
      <c r="C25" s="46">
        <f t="shared" ref="C25:C27" si="2">ROUND($C$8*B25,2)</f>
        <v>0</v>
      </c>
      <c r="F25" s="7"/>
      <c r="G25" s="16"/>
      <c r="H25" s="16"/>
      <c r="I25" s="16"/>
      <c r="J25" s="16"/>
      <c r="K25" s="34"/>
    </row>
    <row r="26" spans="1:11" x14ac:dyDescent="0.25">
      <c r="A26" s="47" t="str">
        <f>"C - Treinamento e/ou reciclagem / - (" &amp; TEXT(B26,"0,00%") &amp; ") sobre o salário"</f>
        <v>C - Treinamento e/ou reciclagem / - (0,00%) sobre o salário</v>
      </c>
      <c r="B26" s="48">
        <v>0</v>
      </c>
      <c r="C26" s="46">
        <f t="shared" si="2"/>
        <v>0</v>
      </c>
      <c r="F26" s="7"/>
      <c r="G26" s="36"/>
      <c r="H26" s="7"/>
      <c r="I26" s="36"/>
      <c r="J26" s="16"/>
      <c r="K26" s="34"/>
    </row>
    <row r="27" spans="1:11" x14ac:dyDescent="0.25">
      <c r="A27" s="49" t="s">
        <v>32</v>
      </c>
      <c r="B27" s="50">
        <v>0</v>
      </c>
      <c r="C27" s="46">
        <f t="shared" si="2"/>
        <v>0</v>
      </c>
      <c r="D27" s="16"/>
      <c r="F27" s="7"/>
      <c r="G27" s="37"/>
      <c r="H27" s="37"/>
      <c r="I27" s="37"/>
    </row>
    <row r="28" spans="1:11" x14ac:dyDescent="0.25">
      <c r="A28" s="110" t="s">
        <v>33</v>
      </c>
      <c r="B28" s="111"/>
      <c r="C28" s="38">
        <f>ROUND(SUM(C24:C27),2)</f>
        <v>0</v>
      </c>
      <c r="F28" s="7"/>
      <c r="G28" s="51"/>
      <c r="H28" s="51"/>
      <c r="I28" s="51"/>
      <c r="J28" s="51"/>
      <c r="K28" s="51"/>
    </row>
    <row r="29" spans="1:11" x14ac:dyDescent="0.25">
      <c r="A29" s="52"/>
      <c r="B29" s="53"/>
      <c r="C29" s="54"/>
      <c r="G29" s="34"/>
      <c r="H29" s="34"/>
      <c r="I29" s="34"/>
      <c r="J29" s="34"/>
      <c r="K29" s="34"/>
    </row>
    <row r="30" spans="1:11" x14ac:dyDescent="0.25">
      <c r="A30" s="120" t="s">
        <v>34</v>
      </c>
      <c r="B30" s="120"/>
      <c r="C30" s="105"/>
    </row>
    <row r="31" spans="1:11" s="19" customFormat="1" x14ac:dyDescent="0.25">
      <c r="A31" s="43" t="s">
        <v>35</v>
      </c>
      <c r="B31" s="44" t="s">
        <v>5</v>
      </c>
      <c r="C31" s="45" t="s">
        <v>6</v>
      </c>
    </row>
    <row r="32" spans="1:11" ht="30" x14ac:dyDescent="0.25">
      <c r="A32" s="55" t="s">
        <v>36</v>
      </c>
      <c r="B32" s="56">
        <v>0</v>
      </c>
      <c r="C32" s="57">
        <f t="shared" ref="C32:C39" si="3">ROUND($C$8*B32,2)</f>
        <v>0</v>
      </c>
      <c r="D32" s="58"/>
    </row>
    <row r="33" spans="1:9" x14ac:dyDescent="0.25">
      <c r="A33" s="59" t="s">
        <v>37</v>
      </c>
      <c r="B33" s="60">
        <v>1.4999999999999999E-2</v>
      </c>
      <c r="C33" s="32">
        <f t="shared" si="3"/>
        <v>81.88</v>
      </c>
      <c r="D33" s="58"/>
    </row>
    <row r="34" spans="1:9" x14ac:dyDescent="0.25">
      <c r="A34" s="59" t="s">
        <v>38</v>
      </c>
      <c r="B34" s="60">
        <v>0.01</v>
      </c>
      <c r="C34" s="61">
        <f t="shared" si="3"/>
        <v>54.58</v>
      </c>
      <c r="D34" s="58"/>
    </row>
    <row r="35" spans="1:9" x14ac:dyDescent="0.25">
      <c r="A35" s="59" t="s">
        <v>39</v>
      </c>
      <c r="B35" s="60">
        <v>2E-3</v>
      </c>
      <c r="C35" s="61">
        <f t="shared" si="3"/>
        <v>10.92</v>
      </c>
      <c r="D35" s="58"/>
    </row>
    <row r="36" spans="1:9" x14ac:dyDescent="0.25">
      <c r="A36" s="59" t="s">
        <v>40</v>
      </c>
      <c r="B36" s="60">
        <v>2.5000000000000001E-2</v>
      </c>
      <c r="C36" s="61">
        <f t="shared" si="3"/>
        <v>136.46</v>
      </c>
      <c r="D36" s="58"/>
    </row>
    <row r="37" spans="1:9" x14ac:dyDescent="0.25">
      <c r="A37" s="59" t="s">
        <v>41</v>
      </c>
      <c r="B37" s="60">
        <v>0.08</v>
      </c>
      <c r="C37" s="61">
        <f t="shared" si="3"/>
        <v>436.68</v>
      </c>
      <c r="D37" s="58"/>
    </row>
    <row r="38" spans="1:9" x14ac:dyDescent="0.25">
      <c r="A38" s="59" t="s">
        <v>42</v>
      </c>
      <c r="B38" s="60">
        <v>1.3299999999999999E-2</v>
      </c>
      <c r="C38" s="61">
        <f t="shared" si="3"/>
        <v>72.599999999999994</v>
      </c>
      <c r="D38" s="58"/>
    </row>
    <row r="39" spans="1:9" x14ac:dyDescent="0.25">
      <c r="A39" s="59" t="s">
        <v>43</v>
      </c>
      <c r="B39" s="60">
        <v>6.0000000000000001E-3</v>
      </c>
      <c r="C39" s="62">
        <f t="shared" si="3"/>
        <v>32.75</v>
      </c>
      <c r="D39" s="58"/>
    </row>
    <row r="40" spans="1:9" x14ac:dyDescent="0.25">
      <c r="A40" s="8" t="s">
        <v>44</v>
      </c>
      <c r="B40" s="9">
        <f>ROUND(SUM(B32:B39),4)</f>
        <v>0.15129999999999999</v>
      </c>
      <c r="C40" s="10">
        <f>ROUND(SUM(C32:C39),2)</f>
        <v>825.87</v>
      </c>
      <c r="D40" s="58"/>
    </row>
    <row r="41" spans="1:9" x14ac:dyDescent="0.25">
      <c r="A41" s="63"/>
      <c r="B41" s="64"/>
      <c r="C41" s="65"/>
      <c r="D41" s="58"/>
    </row>
    <row r="42" spans="1:9" x14ac:dyDescent="0.25">
      <c r="A42" s="8" t="s">
        <v>45</v>
      </c>
      <c r="B42" s="66" t="s">
        <v>5</v>
      </c>
      <c r="C42" s="10" t="s">
        <v>6</v>
      </c>
      <c r="D42" s="58"/>
    </row>
    <row r="43" spans="1:9" x14ac:dyDescent="0.25">
      <c r="A43" s="67" t="s">
        <v>46</v>
      </c>
      <c r="B43" s="60">
        <v>8.3299999999999999E-2</v>
      </c>
      <c r="C43" s="68">
        <f>ROUND($C$8*B43,2)</f>
        <v>454.69</v>
      </c>
      <c r="D43" s="58"/>
    </row>
    <row r="44" spans="1:9" x14ac:dyDescent="0.25">
      <c r="A44" s="67" t="s">
        <v>47</v>
      </c>
      <c r="B44" s="60">
        <v>2.7799999999999998E-2</v>
      </c>
      <c r="C44" s="61">
        <f>ROUND($C$8*B44,2)</f>
        <v>151.75</v>
      </c>
      <c r="D44" s="58"/>
      <c r="I44" s="36"/>
    </row>
    <row r="45" spans="1:9" x14ac:dyDescent="0.25">
      <c r="A45" s="121" t="s">
        <v>48</v>
      </c>
      <c r="B45" s="122"/>
      <c r="C45" s="69">
        <f>SUM(C43:C44)</f>
        <v>606.44000000000005</v>
      </c>
      <c r="D45" s="58"/>
    </row>
    <row r="46" spans="1:9" x14ac:dyDescent="0.25">
      <c r="A46" s="70" t="s">
        <v>49</v>
      </c>
      <c r="B46" s="71">
        <f>SUM(B43:B44)*B40</f>
        <v>1.680943E-2</v>
      </c>
      <c r="C46" s="61">
        <f>ROUND($C$8*B46,2)</f>
        <v>91.75</v>
      </c>
      <c r="D46" s="58"/>
    </row>
    <row r="47" spans="1:9" x14ac:dyDescent="0.25">
      <c r="A47" s="8" t="s">
        <v>50</v>
      </c>
      <c r="B47" s="9">
        <f>SUM(B43:B44,B46)</f>
        <v>0.12790942999999999</v>
      </c>
      <c r="C47" s="10">
        <f>C45+C46</f>
        <v>698.19</v>
      </c>
      <c r="D47" s="58"/>
    </row>
    <row r="48" spans="1:9" x14ac:dyDescent="0.25">
      <c r="A48" s="63"/>
      <c r="B48" s="64"/>
      <c r="C48" s="65"/>
      <c r="D48" s="58"/>
    </row>
    <row r="49" spans="1:7" x14ac:dyDescent="0.25">
      <c r="A49" s="8" t="s">
        <v>51</v>
      </c>
      <c r="B49" s="66" t="s">
        <v>5</v>
      </c>
      <c r="C49" s="10" t="s">
        <v>6</v>
      </c>
      <c r="D49" s="58"/>
    </row>
    <row r="50" spans="1:7" x14ac:dyDescent="0.25">
      <c r="A50" s="67" t="s">
        <v>52</v>
      </c>
      <c r="B50" s="60">
        <v>2.2000000000000001E-3</v>
      </c>
      <c r="C50" s="61">
        <f>ROUND($C$8*B50,2)</f>
        <v>12.01</v>
      </c>
      <c r="D50" s="58"/>
      <c r="G50" s="7"/>
    </row>
    <row r="51" spans="1:7" x14ac:dyDescent="0.25">
      <c r="A51" s="67" t="s">
        <v>53</v>
      </c>
      <c r="B51" s="71">
        <f>B50*B40</f>
        <v>3.3285999999999998E-4</v>
      </c>
      <c r="C51" s="61">
        <f>ROUND($C$8*B51,2)</f>
        <v>1.82</v>
      </c>
      <c r="D51" s="58"/>
    </row>
    <row r="52" spans="1:7" x14ac:dyDescent="0.25">
      <c r="A52" s="8" t="s">
        <v>54</v>
      </c>
      <c r="B52" s="9">
        <f>SUM(B50:B51)</f>
        <v>2.5328600000000001E-3</v>
      </c>
      <c r="C52" s="10">
        <f>SUM(C50:C51)</f>
        <v>13.83</v>
      </c>
      <c r="D52" s="58"/>
    </row>
    <row r="53" spans="1:7" x14ac:dyDescent="0.25">
      <c r="A53" s="63"/>
      <c r="B53" s="64"/>
      <c r="C53" s="65"/>
      <c r="D53" s="58"/>
    </row>
    <row r="54" spans="1:7" x14ac:dyDescent="0.25">
      <c r="A54" s="8" t="s">
        <v>55</v>
      </c>
      <c r="B54" s="66" t="s">
        <v>5</v>
      </c>
      <c r="C54" s="10" t="s">
        <v>6</v>
      </c>
      <c r="D54" s="58"/>
    </row>
    <row r="55" spans="1:7" x14ac:dyDescent="0.25">
      <c r="A55" s="67" t="s">
        <v>56</v>
      </c>
      <c r="B55" s="60">
        <v>6.4000000000000003E-3</v>
      </c>
      <c r="C55" s="61">
        <f t="shared" ref="C55:C60" si="4">ROUND($C$8*B55,2)</f>
        <v>34.93</v>
      </c>
      <c r="D55" s="58"/>
    </row>
    <row r="56" spans="1:7" x14ac:dyDescent="0.25">
      <c r="A56" s="67" t="s">
        <v>57</v>
      </c>
      <c r="B56" s="72">
        <f>B55*B37</f>
        <v>5.1200000000000009E-4</v>
      </c>
      <c r="C56" s="61">
        <f t="shared" si="4"/>
        <v>2.79</v>
      </c>
      <c r="D56" s="58"/>
    </row>
    <row r="57" spans="1:7" x14ac:dyDescent="0.25">
      <c r="A57" s="67" t="s">
        <v>58</v>
      </c>
      <c r="B57" s="60">
        <v>2.9399999999999999E-2</v>
      </c>
      <c r="C57" s="61">
        <f t="shared" si="4"/>
        <v>160.47999999999999</v>
      </c>
      <c r="D57" s="58"/>
    </row>
    <row r="58" spans="1:7" x14ac:dyDescent="0.25">
      <c r="A58" s="67" t="s">
        <v>59</v>
      </c>
      <c r="B58" s="60">
        <v>1.1999999999999999E-3</v>
      </c>
      <c r="C58" s="61">
        <f t="shared" si="4"/>
        <v>6.55</v>
      </c>
      <c r="D58" s="58"/>
    </row>
    <row r="59" spans="1:7" x14ac:dyDescent="0.25">
      <c r="A59" s="67" t="s">
        <v>60</v>
      </c>
      <c r="B59" s="60">
        <f>B40*B58</f>
        <v>1.8155999999999996E-4</v>
      </c>
      <c r="C59" s="61">
        <f t="shared" si="4"/>
        <v>0.99</v>
      </c>
      <c r="D59" s="58"/>
    </row>
    <row r="60" spans="1:7" x14ac:dyDescent="0.25">
      <c r="A60" s="67" t="s">
        <v>61</v>
      </c>
      <c r="B60" s="60">
        <v>1.1999999999999999E-3</v>
      </c>
      <c r="C60" s="61">
        <f t="shared" si="4"/>
        <v>6.55</v>
      </c>
      <c r="D60" s="58"/>
    </row>
    <row r="61" spans="1:7" x14ac:dyDescent="0.25">
      <c r="A61" s="8" t="s">
        <v>62</v>
      </c>
      <c r="B61" s="9">
        <f>SUM(B55:B60)</f>
        <v>3.8893559999999994E-2</v>
      </c>
      <c r="C61" s="10">
        <f>SUM(C55:C60)</f>
        <v>212.29000000000002</v>
      </c>
      <c r="D61" s="58"/>
    </row>
    <row r="62" spans="1:7" x14ac:dyDescent="0.25">
      <c r="A62" s="63"/>
      <c r="B62" s="64"/>
      <c r="C62" s="65"/>
      <c r="D62" s="58"/>
    </row>
    <row r="63" spans="1:7" x14ac:dyDescent="0.25">
      <c r="A63" s="8" t="s">
        <v>63</v>
      </c>
      <c r="B63" s="66" t="s">
        <v>5</v>
      </c>
      <c r="C63" s="10" t="s">
        <v>6</v>
      </c>
      <c r="D63" s="58"/>
    </row>
    <row r="64" spans="1:7" x14ac:dyDescent="0.25">
      <c r="A64" s="67" t="s">
        <v>64</v>
      </c>
      <c r="B64" s="60">
        <v>8.3299999999999999E-2</v>
      </c>
      <c r="C64" s="61">
        <f t="shared" ref="C64:C69" si="5">ROUND($C$8*B64,2)</f>
        <v>454.69</v>
      </c>
      <c r="D64" s="58"/>
    </row>
    <row r="65" spans="1:4" x14ac:dyDescent="0.25">
      <c r="A65" s="67" t="s">
        <v>65</v>
      </c>
      <c r="B65" s="60">
        <v>6.0000000000000001E-3</v>
      </c>
      <c r="C65" s="61">
        <f t="shared" si="5"/>
        <v>32.75</v>
      </c>
      <c r="D65" s="58"/>
    </row>
    <row r="66" spans="1:4" x14ac:dyDescent="0.25">
      <c r="A66" s="67" t="s">
        <v>66</v>
      </c>
      <c r="B66" s="60">
        <v>5.0000000000000001E-4</v>
      </c>
      <c r="C66" s="61">
        <f t="shared" si="5"/>
        <v>2.73</v>
      </c>
      <c r="D66" s="58"/>
    </row>
    <row r="67" spans="1:4" x14ac:dyDescent="0.25">
      <c r="A67" s="67" t="s">
        <v>67</v>
      </c>
      <c r="B67" s="60">
        <v>5.9999999999999995E-4</v>
      </c>
      <c r="C67" s="61">
        <f t="shared" si="5"/>
        <v>3.28</v>
      </c>
      <c r="D67" s="58"/>
    </row>
    <row r="68" spans="1:4" x14ac:dyDescent="0.25">
      <c r="A68" s="67" t="s">
        <v>68</v>
      </c>
      <c r="B68" s="60">
        <v>1E-4</v>
      </c>
      <c r="C68" s="61">
        <f t="shared" si="5"/>
        <v>0.55000000000000004</v>
      </c>
      <c r="D68" s="58"/>
    </row>
    <row r="69" spans="1:4" x14ac:dyDescent="0.25">
      <c r="A69" s="67" t="s">
        <v>69</v>
      </c>
      <c r="B69" s="72">
        <v>0</v>
      </c>
      <c r="C69" s="61">
        <f t="shared" si="5"/>
        <v>0</v>
      </c>
      <c r="D69" s="58"/>
    </row>
    <row r="70" spans="1:4" x14ac:dyDescent="0.25">
      <c r="A70" s="123" t="s">
        <v>48</v>
      </c>
      <c r="B70" s="122"/>
      <c r="C70" s="69">
        <f>SUM(C64:C69)</f>
        <v>494</v>
      </c>
      <c r="D70" s="58"/>
    </row>
    <row r="71" spans="1:4" x14ac:dyDescent="0.25">
      <c r="A71" s="70" t="s">
        <v>70</v>
      </c>
      <c r="B71" s="71">
        <f>SUM(B64:B69)*B40</f>
        <v>1.3692650000000001E-2</v>
      </c>
      <c r="C71" s="61">
        <f>ROUND($C$8*B71,2)</f>
        <v>74.739999999999995</v>
      </c>
      <c r="D71" s="58"/>
    </row>
    <row r="72" spans="1:4" x14ac:dyDescent="0.25">
      <c r="A72" s="8" t="s">
        <v>71</v>
      </c>
      <c r="B72" s="9">
        <f>SUM(B64:B69,B71)</f>
        <v>0.10419265000000001</v>
      </c>
      <c r="C72" s="10">
        <f>SUM(C64:C69)+C71</f>
        <v>568.74</v>
      </c>
      <c r="D72" s="58"/>
    </row>
    <row r="73" spans="1:4" x14ac:dyDescent="0.25">
      <c r="A73" s="63"/>
      <c r="B73" s="64"/>
      <c r="C73" s="65"/>
      <c r="D73" s="58"/>
    </row>
    <row r="74" spans="1:4" s="19" customFormat="1" x14ac:dyDescent="0.25">
      <c r="A74" s="8" t="s">
        <v>72</v>
      </c>
      <c r="B74" s="66">
        <f>SUM(B40,B47,B52,B61,B72)</f>
        <v>0.4248285</v>
      </c>
      <c r="C74" s="10">
        <f>SUM(C40,C47,C52,C61,C72)</f>
        <v>2318.92</v>
      </c>
      <c r="D74" s="73"/>
    </row>
    <row r="75" spans="1:4" x14ac:dyDescent="0.25">
      <c r="A75" s="74"/>
      <c r="B75" s="75"/>
      <c r="C75" s="54"/>
    </row>
    <row r="76" spans="1:4" x14ac:dyDescent="0.25">
      <c r="A76" s="120" t="s">
        <v>73</v>
      </c>
      <c r="B76" s="120"/>
      <c r="C76" s="120"/>
    </row>
    <row r="77" spans="1:4" x14ac:dyDescent="0.25">
      <c r="A77" s="43" t="s">
        <v>74</v>
      </c>
      <c r="B77" s="9" t="s">
        <v>5</v>
      </c>
      <c r="C77" s="10" t="s">
        <v>6</v>
      </c>
    </row>
    <row r="78" spans="1:4" x14ac:dyDescent="0.25">
      <c r="A78" s="67" t="s">
        <v>75</v>
      </c>
      <c r="B78" s="12">
        <f>B40</f>
        <v>0.15129999999999999</v>
      </c>
      <c r="C78" s="69">
        <f>ROUND($C$8*B78,2)</f>
        <v>825.87</v>
      </c>
    </row>
    <row r="79" spans="1:4" x14ac:dyDescent="0.25">
      <c r="A79" s="67" t="s">
        <v>76</v>
      </c>
      <c r="B79" s="12">
        <f>B47</f>
        <v>0.12790942999999999</v>
      </c>
      <c r="C79" s="69">
        <f t="shared" ref="C79:C83" si="6">ROUND($C$8*B79,2)</f>
        <v>698.19</v>
      </c>
    </row>
    <row r="80" spans="1:4" x14ac:dyDescent="0.25">
      <c r="A80" s="67" t="s">
        <v>77</v>
      </c>
      <c r="B80" s="12">
        <f>B52</f>
        <v>2.5328600000000001E-3</v>
      </c>
      <c r="C80" s="69">
        <f t="shared" si="6"/>
        <v>13.83</v>
      </c>
    </row>
    <row r="81" spans="1:6" x14ac:dyDescent="0.25">
      <c r="A81" s="67" t="s">
        <v>78</v>
      </c>
      <c r="B81" s="12">
        <f>B61</f>
        <v>3.8893559999999994E-2</v>
      </c>
      <c r="C81" s="69">
        <f t="shared" si="6"/>
        <v>212.3</v>
      </c>
    </row>
    <row r="82" spans="1:6" x14ac:dyDescent="0.25">
      <c r="A82" s="67" t="s">
        <v>79</v>
      </c>
      <c r="B82" s="12">
        <f>B72</f>
        <v>0.10419265000000001</v>
      </c>
      <c r="C82" s="69">
        <f t="shared" si="6"/>
        <v>568.73</v>
      </c>
    </row>
    <row r="83" spans="1:6" x14ac:dyDescent="0.25">
      <c r="A83" s="67" t="s">
        <v>80</v>
      </c>
      <c r="B83" s="12">
        <v>0</v>
      </c>
      <c r="C83" s="69">
        <f t="shared" si="6"/>
        <v>0</v>
      </c>
    </row>
    <row r="84" spans="1:6" x14ac:dyDescent="0.25">
      <c r="A84" s="8" t="s">
        <v>81</v>
      </c>
      <c r="B84" s="9">
        <f>SUM(B78:B83)</f>
        <v>0.4248285</v>
      </c>
      <c r="C84" s="10">
        <f>SUM(C78:C83)</f>
        <v>2318.92</v>
      </c>
    </row>
    <row r="85" spans="1:6" x14ac:dyDescent="0.25">
      <c r="A85" s="76"/>
      <c r="B85" s="64"/>
      <c r="C85" s="65"/>
    </row>
    <row r="86" spans="1:6" x14ac:dyDescent="0.25">
      <c r="A86" s="109" t="s">
        <v>82</v>
      </c>
      <c r="B86" s="109"/>
      <c r="C86" s="10">
        <f ca="1">C8+C20+C28+C84</f>
        <v>8573.7007853221476</v>
      </c>
    </row>
    <row r="87" spans="1:6" x14ac:dyDescent="0.25">
      <c r="A87" s="77"/>
      <c r="B87" s="77"/>
      <c r="C87" s="20"/>
    </row>
    <row r="88" spans="1:6" x14ac:dyDescent="0.25">
      <c r="A88" s="105" t="s">
        <v>83</v>
      </c>
      <c r="B88" s="106"/>
      <c r="C88" s="107"/>
    </row>
    <row r="89" spans="1:6" x14ac:dyDescent="0.25">
      <c r="A89" s="78" t="s">
        <v>84</v>
      </c>
      <c r="B89" s="66" t="s">
        <v>5</v>
      </c>
      <c r="C89" s="79" t="s">
        <v>6</v>
      </c>
      <c r="E89" s="58"/>
    </row>
    <row r="90" spans="1:6" x14ac:dyDescent="0.25">
      <c r="A90" s="59" t="s">
        <v>85</v>
      </c>
      <c r="B90" s="71">
        <v>0.05</v>
      </c>
      <c r="C90" s="61">
        <f ca="1">ROUND($C$86*B90,2)</f>
        <v>428.69</v>
      </c>
    </row>
    <row r="91" spans="1:6" x14ac:dyDescent="0.25">
      <c r="A91" s="59" t="s">
        <v>86</v>
      </c>
      <c r="B91" s="71">
        <v>4.4299999999999999E-2</v>
      </c>
      <c r="C91" s="61">
        <f ca="1">ROUND($C$86*B91,2)</f>
        <v>379.81</v>
      </c>
      <c r="E91" s="112"/>
      <c r="F91" s="113"/>
    </row>
    <row r="92" spans="1:6" x14ac:dyDescent="0.25">
      <c r="A92" s="110" t="s">
        <v>87</v>
      </c>
      <c r="B92" s="111"/>
      <c r="C92" s="17">
        <f ca="1">ROUND(SUM(C90:C91),2)</f>
        <v>808.5</v>
      </c>
      <c r="E92" s="112"/>
      <c r="F92" s="113"/>
    </row>
    <row r="93" spans="1:6" x14ac:dyDescent="0.25">
      <c r="A93" s="118"/>
      <c r="B93" s="119"/>
      <c r="C93" s="20"/>
      <c r="E93" s="112"/>
      <c r="F93" s="113"/>
    </row>
    <row r="94" spans="1:6" x14ac:dyDescent="0.25">
      <c r="A94" s="110" t="s">
        <v>88</v>
      </c>
      <c r="B94" s="111"/>
      <c r="C94" s="17">
        <v>250</v>
      </c>
      <c r="E94" s="112"/>
      <c r="F94" s="113"/>
    </row>
    <row r="95" spans="1:6" x14ac:dyDescent="0.25">
      <c r="A95" s="80"/>
      <c r="B95" s="19"/>
      <c r="C95" s="20"/>
      <c r="E95" s="81"/>
      <c r="F95" s="82"/>
    </row>
    <row r="96" spans="1:6" x14ac:dyDescent="0.25">
      <c r="A96" s="105" t="s">
        <v>89</v>
      </c>
      <c r="B96" s="106"/>
      <c r="C96" s="107"/>
    </row>
    <row r="97" spans="1:6" x14ac:dyDescent="0.25">
      <c r="A97" s="78" t="s">
        <v>90</v>
      </c>
      <c r="B97" s="66" t="s">
        <v>5</v>
      </c>
      <c r="C97" s="79" t="s">
        <v>6</v>
      </c>
    </row>
    <row r="98" spans="1:6" x14ac:dyDescent="0.25">
      <c r="A98" s="14" t="s">
        <v>91</v>
      </c>
      <c r="B98" s="12">
        <v>0.02</v>
      </c>
      <c r="C98" s="83">
        <f ca="1">ROUND($C$105*B98/$B$102,2)</f>
        <v>214.41</v>
      </c>
      <c r="E98" s="84"/>
    </row>
    <row r="99" spans="1:6" x14ac:dyDescent="0.25">
      <c r="A99" s="14" t="s">
        <v>92</v>
      </c>
      <c r="B99" s="12">
        <v>6.4999999999999997E-3</v>
      </c>
      <c r="C99" s="83">
        <f ca="1">ROUND($C$105*B99/$B$102,2)</f>
        <v>69.680000000000007</v>
      </c>
    </row>
    <row r="100" spans="1:6" x14ac:dyDescent="0.25">
      <c r="A100" s="14" t="s">
        <v>93</v>
      </c>
      <c r="B100" s="12">
        <v>0.03</v>
      </c>
      <c r="C100" s="83">
        <f ca="1">ROUND($C$105*B100/$B$102,2)</f>
        <v>321.61</v>
      </c>
    </row>
    <row r="101" spans="1:6" ht="30" x14ac:dyDescent="0.25">
      <c r="A101" s="85" t="s">
        <v>94</v>
      </c>
      <c r="B101" s="12">
        <v>4.4999999999999998E-2</v>
      </c>
      <c r="C101" s="86">
        <f ca="1">ROUND($C$105*B101/$B$102,2)</f>
        <v>482.41</v>
      </c>
    </row>
    <row r="102" spans="1:6" x14ac:dyDescent="0.25">
      <c r="A102" s="87" t="s">
        <v>95</v>
      </c>
      <c r="B102" s="88">
        <f>ROUND(SUM(B98:B101),4)</f>
        <v>0.10150000000000001</v>
      </c>
      <c r="C102" s="89">
        <f ca="1">ROUND($C$105*B102/$B$102,2)</f>
        <v>1088.1099999999999</v>
      </c>
      <c r="E102" s="90"/>
    </row>
    <row r="103" spans="1:6" x14ac:dyDescent="0.25">
      <c r="A103" s="91"/>
      <c r="B103" s="92"/>
      <c r="C103" s="93"/>
      <c r="D103" s="16"/>
    </row>
    <row r="104" spans="1:6" x14ac:dyDescent="0.25">
      <c r="A104" s="114" t="s">
        <v>96</v>
      </c>
      <c r="B104" s="115"/>
      <c r="C104" s="94">
        <f ca="1">ROUND(C86+C92+C94,2)</f>
        <v>9632.2000000000007</v>
      </c>
    </row>
    <row r="105" spans="1:6" x14ac:dyDescent="0.25">
      <c r="A105" s="116" t="s">
        <v>97</v>
      </c>
      <c r="B105" s="117"/>
      <c r="C105" s="10">
        <f ca="1">ROUND(C106-C104,2)</f>
        <v>1088.1099999999999</v>
      </c>
      <c r="E105" s="90"/>
    </row>
    <row r="106" spans="1:6" x14ac:dyDescent="0.25">
      <c r="A106" s="109" t="s">
        <v>98</v>
      </c>
      <c r="B106" s="109"/>
      <c r="C106" s="10">
        <f ca="1">ROUND(C104/(1-$B$102),2)</f>
        <v>10720.31</v>
      </c>
      <c r="D106" s="16"/>
      <c r="E106" s="95"/>
      <c r="F106" s="95"/>
    </row>
    <row r="107" spans="1:6" x14ac:dyDescent="0.25">
      <c r="A107" s="96"/>
      <c r="B107" s="80"/>
      <c r="C107" s="65"/>
    </row>
    <row r="108" spans="1:6" x14ac:dyDescent="0.25">
      <c r="A108" s="105" t="s">
        <v>99</v>
      </c>
      <c r="B108" s="106"/>
      <c r="C108" s="107"/>
    </row>
    <row r="109" spans="1:6" x14ac:dyDescent="0.25">
      <c r="A109" s="108" t="s">
        <v>100</v>
      </c>
      <c r="B109" s="108"/>
      <c r="C109" s="17">
        <f ca="1">ROUND(C106,2)</f>
        <v>10720.31</v>
      </c>
    </row>
    <row r="110" spans="1:6" x14ac:dyDescent="0.25">
      <c r="A110" s="18"/>
      <c r="B110" s="80"/>
      <c r="C110" s="65"/>
    </row>
    <row r="111" spans="1:6" hidden="1" x14ac:dyDescent="0.25">
      <c r="A111" s="109" t="s">
        <v>101</v>
      </c>
      <c r="B111" s="109"/>
      <c r="C111" s="69" t="e">
        <f>ROUND(#REF!/C8,2)</f>
        <v>#REF!</v>
      </c>
    </row>
    <row r="112" spans="1:6" x14ac:dyDescent="0.25">
      <c r="A112" s="109" t="s">
        <v>102</v>
      </c>
      <c r="B112" s="109"/>
      <c r="C112" s="69">
        <f ca="1">ROUND(C109/C10,2)</f>
        <v>67</v>
      </c>
    </row>
    <row r="113" spans="1:3" hidden="1" x14ac:dyDescent="0.25">
      <c r="A113" s="109" t="s">
        <v>103</v>
      </c>
      <c r="B113" s="109"/>
      <c r="C113" s="69" t="e">
        <f>#REF!</f>
        <v>#REF!</v>
      </c>
    </row>
    <row r="114" spans="1:3" x14ac:dyDescent="0.25">
      <c r="C114" s="65"/>
    </row>
  </sheetData>
  <mergeCells count="30"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108:C108"/>
    <mergeCell ref="A109:B109"/>
    <mergeCell ref="A111:B111"/>
    <mergeCell ref="A112:B112"/>
    <mergeCell ref="A113:B1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UST</vt:lpstr>
      <vt:lpstr>UST!Area_de_impressao</vt:lpstr>
      <vt:lpstr>UST!Titulos_de_impressao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Jusmar Chaves</dc:creator>
  <cp:lastModifiedBy>Halisson Luciano Chaves A. da Fonseca</cp:lastModifiedBy>
  <dcterms:created xsi:type="dcterms:W3CDTF">2020-09-16T13:34:08Z</dcterms:created>
  <dcterms:modified xsi:type="dcterms:W3CDTF">2020-09-16T18:51:50Z</dcterms:modified>
</cp:coreProperties>
</file>